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Pág 520" sheetId="1" r:id="rId1"/>
    <sheet name="CAPM" sheetId="2" r:id="rId2"/>
    <sheet name="Flujos" sheetId="3" r:id="rId3"/>
    <sheet name="Imp Pers" sheetId="4" r:id="rId4"/>
    <sheet name="Gráfico" sheetId="5" r:id="rId5"/>
    <sheet name="Tabla" sheetId="6" r:id="rId6"/>
    <sheet name="APV" sheetId="7" r:id="rId7"/>
  </sheets>
  <definedNames>
    <definedName name="CCF">'Pág 520'!$G$18</definedName>
    <definedName name="D">'Pág 520'!$C$3</definedName>
    <definedName name="D_V">'Pág 520'!$C$12</definedName>
    <definedName name="E">'Pág 520'!$C$4</definedName>
    <definedName name="E_V">'Pág 520'!$C$13</definedName>
    <definedName name="EBT">'Pág 520'!$G$14</definedName>
    <definedName name="FCF">'Pág 520'!$G$7</definedName>
    <definedName name="I">'Pág 520'!$C$16</definedName>
    <definedName name="Net_Income">'Pág 520'!$G$16</definedName>
    <definedName name="ra">'Pág 520'!$C$9</definedName>
    <definedName name="rd">'Pág 520'!$C$7</definedName>
    <definedName name="re">'Pág 520'!$D$8</definedName>
    <definedName name="Tax">'Pág 520'!$G$15</definedName>
    <definedName name="Tc">'Pág 520'!$C$10</definedName>
    <definedName name="UTax">'Pág 520'!$G$6</definedName>
    <definedName name="V">'Pág 520'!$B$4</definedName>
    <definedName name="VP_Tsh">'Pág 520'!$C$11</definedName>
    <definedName name="WACC__a_T">'Pág 520'!$C$18</definedName>
    <definedName name="WACC__b_T">'Pág 520'!$C$19</definedName>
    <definedName name="X">'Pág 520'!$C$15</definedName>
  </definedNames>
  <calcPr fullCalcOnLoad="1"/>
</workbook>
</file>

<file path=xl/comments1.xml><?xml version="1.0" encoding="utf-8"?>
<comments xmlns="http://schemas.openxmlformats.org/spreadsheetml/2006/main">
  <authors>
    <author>pc</author>
    <author>CB</author>
  </authors>
  <commentList>
    <comment ref="D8" authorId="0">
      <text>
        <r>
          <rPr>
            <sz val="8"/>
            <rFont val="Tahoma"/>
            <family val="0"/>
          </rPr>
          <t xml:space="preserve">
Según proposición II de MM</t>
        </r>
      </text>
    </comment>
    <comment ref="G9" authorId="1">
      <text>
        <r>
          <rPr>
            <b/>
            <sz val="8"/>
            <rFont val="Tahoma"/>
            <family val="0"/>
          </rPr>
          <t>El beneficio fiscal por endeudamiento fue aplicado en la tasa.</t>
        </r>
      </text>
    </comment>
    <comment ref="G6" authorId="1">
      <text>
        <r>
          <rPr>
            <b/>
            <sz val="8"/>
            <rFont val="Tahoma"/>
            <family val="0"/>
          </rPr>
          <t>Tax sin leverage</t>
        </r>
      </text>
    </comment>
    <comment ref="G15" authorId="1">
      <text>
        <r>
          <rPr>
            <b/>
            <sz val="8"/>
            <rFont val="Tahoma"/>
            <family val="0"/>
          </rPr>
          <t>Tax con leverage.
(el real)</t>
        </r>
      </text>
    </comment>
    <comment ref="G18" authorId="1">
      <text>
        <r>
          <rPr>
            <b/>
            <sz val="8"/>
            <rFont val="Tahoma"/>
            <family val="0"/>
          </rPr>
          <t>Flujo para ambos propietarios, después de impuestos, con el beneficio fiscal por endeudamiento. CCF</t>
        </r>
      </text>
    </comment>
    <comment ref="G7" authorId="1">
      <text>
        <r>
          <rPr>
            <b/>
            <sz val="8"/>
            <rFont val="Tahoma"/>
            <family val="0"/>
          </rPr>
          <t>Flujo para ambos propietarios, después de impuestos, sin el beneficio fiscal por endeudamiento. FCF</t>
        </r>
      </text>
    </comment>
    <comment ref="B18" authorId="1">
      <text>
        <r>
          <rPr>
            <b/>
            <sz val="8"/>
            <rFont val="Tahoma"/>
            <family val="0"/>
          </rPr>
          <t>Tasa corregida por efecto fiscal.</t>
        </r>
      </text>
    </comment>
    <comment ref="G16" authorId="1">
      <text>
        <r>
          <rPr>
            <b/>
            <sz val="8"/>
            <rFont val="Tahoma"/>
            <family val="0"/>
          </rPr>
          <t>CB:</t>
        </r>
        <r>
          <rPr>
            <sz val="8"/>
            <rFont val="Tahoma"/>
            <family val="0"/>
          </rPr>
          <t xml:space="preserve">
Flujo para el accionista (CFa)</t>
        </r>
      </text>
    </comment>
  </commentList>
</comments>
</file>

<file path=xl/comments7.xml><?xml version="1.0" encoding="utf-8"?>
<comments xmlns="http://schemas.openxmlformats.org/spreadsheetml/2006/main">
  <authors>
    <author>CB</author>
  </authors>
  <commentList>
    <comment ref="E6" authorId="0">
      <text>
        <r>
          <rPr>
            <b/>
            <sz val="8"/>
            <rFont val="Tahoma"/>
            <family val="0"/>
          </rPr>
          <t>Tax sin leverage</t>
        </r>
      </text>
    </comment>
    <comment ref="E7" authorId="0">
      <text>
        <r>
          <rPr>
            <b/>
            <sz val="8"/>
            <rFont val="Tahoma"/>
            <family val="0"/>
          </rPr>
          <t>Flujo para ambos propietarios, después de impuestos, sin el beneficio fiscal por endeudamiento. FCF</t>
        </r>
      </text>
    </comment>
    <comment ref="E9" authorId="0">
      <text>
        <r>
          <rPr>
            <b/>
            <sz val="8"/>
            <rFont val="Tahoma"/>
            <family val="0"/>
          </rPr>
          <t>El beneficio fiscal por endeudamiento no fue incluido ni en el flujo ni en la tasa porque se calcula full equity: es Vu.</t>
        </r>
      </text>
    </comment>
  </commentList>
</comments>
</file>

<file path=xl/sharedStrings.xml><?xml version="1.0" encoding="utf-8"?>
<sst xmlns="http://schemas.openxmlformats.org/spreadsheetml/2006/main" count="90" uniqueCount="71">
  <si>
    <t>rd =</t>
  </si>
  <si>
    <t>re =</t>
  </si>
  <si>
    <t>Tc =</t>
  </si>
  <si>
    <t>D/V =</t>
  </si>
  <si>
    <t>E/V =</t>
  </si>
  <si>
    <t>I =</t>
  </si>
  <si>
    <t>EBIT (X) =</t>
  </si>
  <si>
    <t>WACC (a T)</t>
  </si>
  <si>
    <t>WACC (b T)</t>
  </si>
  <si>
    <t>X =</t>
  </si>
  <si>
    <t>Tax =</t>
  </si>
  <si>
    <t>PV=</t>
  </si>
  <si>
    <t>PV =</t>
  </si>
  <si>
    <t>GEOTHERMAL PROJECT</t>
  </si>
  <si>
    <t>ra =</t>
  </si>
  <si>
    <t>VP Tsh =</t>
  </si>
  <si>
    <t>D</t>
  </si>
  <si>
    <t>E</t>
  </si>
  <si>
    <t>D/E</t>
  </si>
  <si>
    <t>WACC</t>
  </si>
  <si>
    <t>re</t>
  </si>
  <si>
    <t>V</t>
  </si>
  <si>
    <t>D/V</t>
  </si>
  <si>
    <t>after Tax</t>
  </si>
  <si>
    <t>I</t>
  </si>
  <si>
    <t>X - Tc (X-I)</t>
  </si>
  <si>
    <t>(X-I) (1-Tc)</t>
  </si>
  <si>
    <t>X - Tc (X-I) = I + (X-I) (1-Tc)</t>
  </si>
  <si>
    <t>2,085 - 0,58975 = 0,4 + 1,09525</t>
  </si>
  <si>
    <t>Tax Sh Anual</t>
  </si>
  <si>
    <t>EBT=</t>
  </si>
  <si>
    <t>UTax =</t>
  </si>
  <si>
    <t>Net Income=</t>
  </si>
  <si>
    <t>CCF = X - Tax =</t>
  </si>
  <si>
    <t>FREE CASH FLOW VALUE</t>
  </si>
  <si>
    <t>CAPITAL CASH FLOW VALUE</t>
  </si>
  <si>
    <t>DATOS DEL MERCADO FINANCIERO</t>
  </si>
  <si>
    <t>Risk Free:</t>
  </si>
  <si>
    <t>Beta e:</t>
  </si>
  <si>
    <t>Ret. Mdo.:</t>
  </si>
  <si>
    <t>re:</t>
  </si>
  <si>
    <t>Beta u:</t>
  </si>
  <si>
    <t>Vu =</t>
  </si>
  <si>
    <t>ku =</t>
  </si>
  <si>
    <t>VPTsh=</t>
  </si>
  <si>
    <t xml:space="preserve"> FCF = X - UTax =</t>
  </si>
  <si>
    <t>+</t>
  </si>
  <si>
    <t>TAX SHIELD VALUE</t>
  </si>
  <si>
    <t>DxTc=</t>
  </si>
  <si>
    <t>ANUAL TAX SHIELD:</t>
  </si>
  <si>
    <t>TASA DESCUENTO:</t>
  </si>
  <si>
    <t>=</t>
  </si>
  <si>
    <t>APV</t>
  </si>
  <si>
    <t>BASE CASE PV=</t>
  </si>
  <si>
    <t>Supuestos:</t>
  </si>
  <si>
    <t>re=</t>
  </si>
  <si>
    <t>Descontados</t>
  </si>
  <si>
    <t>´+ Cash Flows</t>
  </si>
  <si>
    <t>1) Flujos perpetuos</t>
  </si>
  <si>
    <t>3) Net Income=Dividendos</t>
  </si>
  <si>
    <t>4) No varía WK</t>
  </si>
  <si>
    <t>5) Amortizaciones=CAPEX</t>
  </si>
  <si>
    <t>2) La empresa no crece</t>
  </si>
  <si>
    <t>Vu</t>
  </si>
  <si>
    <t>ra = re unlev.=</t>
  </si>
  <si>
    <t>Tp=</t>
  </si>
  <si>
    <t>Tpe=</t>
  </si>
  <si>
    <t>Tc=</t>
  </si>
  <si>
    <t>X=</t>
  </si>
  <si>
    <t>I=</t>
  </si>
  <si>
    <t>X - Tc (X-I)-(X-I)(1-Tc)Tpe-ITp = I-ITp + (X-I) (1-Tc)-(X-I)(1-Tc)Tpe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</si>
</sst>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0"/>
    <numFmt numFmtId="178" formatCode="0.00000000"/>
    <numFmt numFmtId="179" formatCode="0.0%"/>
    <numFmt numFmtId="180" formatCode="0.000%"/>
  </numFmts>
  <fonts count="5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sz val="28"/>
      <name val="Arial"/>
      <family val="2"/>
    </font>
    <font>
      <sz val="22"/>
      <name val="Arial"/>
      <family val="2"/>
    </font>
    <font>
      <sz val="16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.7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175" fontId="4" fillId="0" borderId="0" xfId="0" applyNumberFormat="1" applyFont="1" applyAlignment="1">
      <alignment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6" fillId="33" borderId="19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52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80" fontId="0" fillId="0" borderId="0" xfId="52" applyNumberFormat="1" applyFont="1" applyAlignment="1">
      <alignment horizontal="center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174" fontId="0" fillId="0" borderId="21" xfId="0" applyNumberFormat="1" applyBorder="1" applyAlignment="1">
      <alignment horizontal="center"/>
    </xf>
    <xf numFmtId="174" fontId="0" fillId="0" borderId="22" xfId="0" applyNumberFormat="1" applyBorder="1" applyAlignment="1">
      <alignment horizontal="center"/>
    </xf>
    <xf numFmtId="0" fontId="1" fillId="0" borderId="23" xfId="0" applyFont="1" applyBorder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34" borderId="0" xfId="0" applyFont="1" applyFill="1" applyAlignment="1">
      <alignment/>
    </xf>
    <xf numFmtId="174" fontId="5" fillId="35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4" fontId="0" fillId="36" borderId="0" xfId="0" applyNumberFormat="1" applyFill="1" applyAlignment="1">
      <alignment horizontal="center"/>
    </xf>
    <xf numFmtId="179" fontId="0" fillId="36" borderId="0" xfId="52" applyNumberFormat="1" applyFont="1" applyFill="1" applyAlignment="1">
      <alignment horizontal="center"/>
    </xf>
    <xf numFmtId="180" fontId="0" fillId="36" borderId="0" xfId="52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36" borderId="0" xfId="0" applyNumberFormat="1" applyFont="1" applyFill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right"/>
    </xf>
    <xf numFmtId="2" fontId="14" fillId="0" borderId="0" xfId="0" applyNumberFormat="1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4" fillId="36" borderId="0" xfId="0" applyFont="1" applyFill="1" applyAlignment="1">
      <alignment horizontal="center"/>
    </xf>
    <xf numFmtId="0" fontId="13" fillId="0" borderId="14" xfId="0" applyFont="1" applyBorder="1" applyAlignment="1">
      <alignment horizontal="right"/>
    </xf>
    <xf numFmtId="172" fontId="5" fillId="0" borderId="11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7" xfId="0" applyFont="1" applyBorder="1" applyAlignment="1">
      <alignment/>
    </xf>
    <xf numFmtId="0" fontId="4" fillId="37" borderId="0" xfId="0" applyFont="1" applyFill="1" applyAlignment="1">
      <alignment horizontal="right"/>
    </xf>
    <xf numFmtId="0" fontId="4" fillId="37" borderId="0" xfId="0" applyFont="1" applyFill="1" applyAlignment="1">
      <alignment/>
    </xf>
    <xf numFmtId="174" fontId="5" fillId="37" borderId="11" xfId="0" applyNumberFormat="1" applyFont="1" applyFill="1" applyBorder="1" applyAlignment="1">
      <alignment/>
    </xf>
    <xf numFmtId="174" fontId="0" fillId="5" borderId="20" xfId="0" applyNumberFormat="1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2" fontId="5" fillId="5" borderId="23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2" fontId="14" fillId="0" borderId="25" xfId="0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4325"/>
          <c:w val="0.931"/>
          <c:h val="0.788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Tabla!$F$5:$F$15</c:f>
              <c:numCache>
                <c:ptCount val="11"/>
                <c:pt idx="0">
                  <c:v>0</c:v>
                </c:pt>
                <c:pt idx="1">
                  <c:v>0.0900900900900901</c:v>
                </c:pt>
                <c:pt idx="2">
                  <c:v>0.17467248908296945</c:v>
                </c:pt>
                <c:pt idx="3">
                  <c:v>0.2542372881355932</c:v>
                </c:pt>
                <c:pt idx="4">
                  <c:v>0.3292181069958848</c:v>
                </c:pt>
                <c:pt idx="5">
                  <c:v>0.4</c:v>
                </c:pt>
                <c:pt idx="6">
                  <c:v>0.4669260700389105</c:v>
                </c:pt>
                <c:pt idx="7">
                  <c:v>0.5303030303030303</c:v>
                </c:pt>
                <c:pt idx="8">
                  <c:v>0.5904059040590406</c:v>
                </c:pt>
                <c:pt idx="9">
                  <c:v>0.6474820143884892</c:v>
                </c:pt>
                <c:pt idx="10">
                  <c:v>0.7017543859649122</c:v>
                </c:pt>
              </c:numCache>
            </c:numRef>
          </c:xVal>
          <c:yVal>
            <c:numRef>
              <c:f>Tabla!$G$5:$G$15</c:f>
              <c:numCache>
                <c:ptCount val="11"/>
                <c:pt idx="0">
                  <c:v>0.12606976744186046</c:v>
                </c:pt>
                <c:pt idx="1">
                  <c:v>0.12903465346534654</c:v>
                </c:pt>
                <c:pt idx="2">
                  <c:v>0.13240740740740742</c:v>
                </c:pt>
                <c:pt idx="3">
                  <c:v>0.13627840909090908</c:v>
                </c:pt>
                <c:pt idx="4">
                  <c:v>0.14076687116564415</c:v>
                </c:pt>
                <c:pt idx="5">
                  <c:v>0.14603333333333335</c:v>
                </c:pt>
                <c:pt idx="6">
                  <c:v>0.1522992700729927</c:v>
                </c:pt>
                <c:pt idx="7">
                  <c:v>0.15987903225806452</c:v>
                </c:pt>
                <c:pt idx="8">
                  <c:v>0.1692342342342342</c:v>
                </c:pt>
                <c:pt idx="9">
                  <c:v>0.18107142857142855</c:v>
                </c:pt>
                <c:pt idx="10">
                  <c:v>0.19652941176470587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Tabla!$F$5:$F$15</c:f>
              <c:numCache>
                <c:ptCount val="11"/>
                <c:pt idx="0">
                  <c:v>0</c:v>
                </c:pt>
                <c:pt idx="1">
                  <c:v>0.0900900900900901</c:v>
                </c:pt>
                <c:pt idx="2">
                  <c:v>0.17467248908296945</c:v>
                </c:pt>
                <c:pt idx="3">
                  <c:v>0.2542372881355932</c:v>
                </c:pt>
                <c:pt idx="4">
                  <c:v>0.3292181069958848</c:v>
                </c:pt>
                <c:pt idx="5">
                  <c:v>0.4</c:v>
                </c:pt>
                <c:pt idx="6">
                  <c:v>0.4669260700389105</c:v>
                </c:pt>
                <c:pt idx="7">
                  <c:v>0.5303030303030303</c:v>
                </c:pt>
                <c:pt idx="8">
                  <c:v>0.5904059040590406</c:v>
                </c:pt>
                <c:pt idx="9">
                  <c:v>0.6474820143884892</c:v>
                </c:pt>
                <c:pt idx="10">
                  <c:v>0.7017543859649122</c:v>
                </c:pt>
              </c:numCache>
            </c:numRef>
          </c:xVal>
          <c:yVal>
            <c:numRef>
              <c:f>Tabla!$H$5:$H$15</c:f>
              <c:numCache>
                <c:ptCount val="11"/>
                <c:pt idx="0">
                  <c:v>0.12606976744186046</c:v>
                </c:pt>
                <c:pt idx="1">
                  <c:v>0.12461711711711713</c:v>
                </c:pt>
                <c:pt idx="2">
                  <c:v>0.12325327510917031</c:v>
                </c:pt>
                <c:pt idx="3">
                  <c:v>0.12197033898305083</c:v>
                </c:pt>
                <c:pt idx="4">
                  <c:v>0.12076131687242797</c:v>
                </c:pt>
                <c:pt idx="5">
                  <c:v>0.11962</c:v>
                </c:pt>
                <c:pt idx="6">
                  <c:v>0.1185408560311284</c:v>
                </c:pt>
                <c:pt idx="7">
                  <c:v>0.1175189393939394</c:v>
                </c:pt>
                <c:pt idx="8">
                  <c:v>0.11654981549815498</c:v>
                </c:pt>
                <c:pt idx="9">
                  <c:v>0.1156294964028777</c:v>
                </c:pt>
                <c:pt idx="10">
                  <c:v>0.11475438596491229</c:v>
                </c:pt>
              </c:numCache>
            </c:numRef>
          </c:yVal>
          <c:smooth val="0"/>
        </c:ser>
        <c:axId val="18112998"/>
        <c:axId val="28799255"/>
      </c:scatterChart>
      <c:valAx>
        <c:axId val="1811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D/V</a:t>
                </a:r>
              </a:p>
            </c:rich>
          </c:tx>
          <c:layout>
            <c:manualLayout>
              <c:xMode val="factor"/>
              <c:yMode val="factor"/>
              <c:x val="0.039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cross"/>
        <c:minorTickMark val="in"/>
        <c:tickLblPos val="nextTo"/>
        <c:spPr>
          <a:ln w="25400">
            <a:solidFill>
              <a:srgbClr val="000000"/>
            </a:solidFill>
          </a:ln>
        </c:spPr>
        <c:crossAx val="28799255"/>
        <c:crosses val="autoZero"/>
        <c:crossBetween val="midCat"/>
        <c:dispUnits/>
      </c:valAx>
      <c:valAx>
        <c:axId val="28799255"/>
        <c:scaling>
          <c:orientation val="minMax"/>
          <c:max val="0.2"/>
          <c:min val="0.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81129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152400</xdr:rowOff>
    </xdr:from>
    <xdr:to>
      <xdr:col>10</xdr:col>
      <xdr:colOff>752475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762000" y="152400"/>
        <a:ext cx="76104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590550</xdr:colOff>
      <xdr:row>3</xdr:row>
      <xdr:rowOff>133350</xdr:rowOff>
    </xdr:from>
    <xdr:ext cx="200025" cy="171450"/>
    <xdr:sp>
      <xdr:nvSpPr>
        <xdr:cNvPr id="2" name="Text Box 2"/>
        <xdr:cNvSpPr txBox="1">
          <a:spLocks noChangeArrowheads="1"/>
        </xdr:cNvSpPr>
      </xdr:nvSpPr>
      <xdr:spPr>
        <a:xfrm>
          <a:off x="6686550" y="6191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</a:t>
          </a:r>
        </a:p>
      </xdr:txBody>
    </xdr:sp>
    <xdr:clientData/>
  </xdr:oneCellAnchor>
  <xdr:oneCellAnchor>
    <xdr:from>
      <xdr:col>7</xdr:col>
      <xdr:colOff>447675</xdr:colOff>
      <xdr:row>18</xdr:row>
      <xdr:rowOff>133350</xdr:rowOff>
    </xdr:from>
    <xdr:ext cx="457200" cy="200025"/>
    <xdr:sp>
      <xdr:nvSpPr>
        <xdr:cNvPr id="3" name="Text Box 3"/>
        <xdr:cNvSpPr txBox="1">
          <a:spLocks noChangeArrowheads="1"/>
        </xdr:cNvSpPr>
      </xdr:nvSpPr>
      <xdr:spPr>
        <a:xfrm>
          <a:off x="5781675" y="3048000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WACC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zoomScale="120" zoomScaleNormal="120" zoomScalePageLayoutView="0" workbookViewId="0" topLeftCell="A1">
      <selection activeCell="B1" sqref="B1:G1"/>
    </sheetView>
  </sheetViews>
  <sheetFormatPr defaultColWidth="11.421875" defaultRowHeight="12.75"/>
  <cols>
    <col min="1" max="1" width="4.7109375" style="0" customWidth="1"/>
    <col min="2" max="2" width="13.57421875" style="0" bestFit="1" customWidth="1"/>
    <col min="3" max="3" width="10.8515625" style="0" bestFit="1" customWidth="1"/>
    <col min="4" max="4" width="11.57421875" style="0" bestFit="1" customWidth="1"/>
    <col min="5" max="5" width="4.00390625" style="0" customWidth="1"/>
    <col min="6" max="6" width="18.8515625" style="0" customWidth="1"/>
    <col min="8" max="8" width="4.7109375" style="0" customWidth="1"/>
    <col min="9" max="9" width="13.28125" style="0" bestFit="1" customWidth="1"/>
    <col min="10" max="10" width="5.57421875" style="0" customWidth="1"/>
  </cols>
  <sheetData>
    <row r="1" spans="2:10" ht="18.75" thickBot="1">
      <c r="B1" s="70" t="s">
        <v>13</v>
      </c>
      <c r="C1" s="71"/>
      <c r="D1" s="71"/>
      <c r="E1" s="71"/>
      <c r="F1" s="71"/>
      <c r="G1" s="72"/>
      <c r="I1" s="77" t="s">
        <v>54</v>
      </c>
      <c r="J1" s="78"/>
    </row>
    <row r="2" spans="9:10" ht="13.5" thickBot="1">
      <c r="I2" s="62" t="s">
        <v>58</v>
      </c>
      <c r="J2" s="25"/>
    </row>
    <row r="3" spans="2:10" ht="18.75" thickBot="1">
      <c r="B3" s="1"/>
      <c r="C3" s="16">
        <v>5</v>
      </c>
      <c r="I3" s="62" t="s">
        <v>62</v>
      </c>
      <c r="J3" s="25"/>
    </row>
    <row r="4" spans="2:10" ht="18.75" thickBot="1">
      <c r="B4" s="13">
        <f>10.75+VP_Tsh</f>
        <v>12.5</v>
      </c>
      <c r="C4" s="2">
        <f>V-D</f>
        <v>7.5</v>
      </c>
      <c r="F4" s="73" t="s">
        <v>34</v>
      </c>
      <c r="G4" s="74"/>
      <c r="I4" s="62" t="s">
        <v>59</v>
      </c>
      <c r="J4" s="25"/>
    </row>
    <row r="5" spans="6:10" ht="15">
      <c r="F5" s="5" t="s">
        <v>9</v>
      </c>
      <c r="G5" s="6">
        <f>X</f>
        <v>2.085</v>
      </c>
      <c r="I5" s="62" t="s">
        <v>60</v>
      </c>
      <c r="J5" s="25"/>
    </row>
    <row r="6" spans="6:10" ht="15.75" thickBot="1">
      <c r="F6" s="22" t="s">
        <v>31</v>
      </c>
      <c r="G6" s="23">
        <f>X*Tc</f>
        <v>0.7297499999999999</v>
      </c>
      <c r="I6" s="63" t="s">
        <v>61</v>
      </c>
      <c r="J6" s="26"/>
    </row>
    <row r="7" spans="2:7" ht="15">
      <c r="B7" s="15" t="s">
        <v>0</v>
      </c>
      <c r="C7" s="41">
        <v>0.08</v>
      </c>
      <c r="D7" s="3"/>
      <c r="F7" s="11" t="s">
        <v>45</v>
      </c>
      <c r="G7" s="9">
        <f>X-UTax</f>
        <v>1.35525</v>
      </c>
    </row>
    <row r="8" spans="2:7" ht="15.75" thickBot="1">
      <c r="B8" s="15" t="s">
        <v>1</v>
      </c>
      <c r="C8" s="52">
        <f>((X-I)*(1-Tc))/E</f>
        <v>0.14603333333333335</v>
      </c>
      <c r="D8" s="52">
        <f>ra+(D_V/E_V)*(ra-rd)</f>
        <v>0.14603333333333335</v>
      </c>
      <c r="F8" s="7"/>
      <c r="G8" s="9"/>
    </row>
    <row r="9" spans="2:9" ht="16.5" thickBot="1">
      <c r="B9" s="15" t="s">
        <v>14</v>
      </c>
      <c r="C9" s="14">
        <f>(X-Tc*(X-I))/V</f>
        <v>0.11962</v>
      </c>
      <c r="D9" s="3"/>
      <c r="F9" s="10" t="s">
        <v>11</v>
      </c>
      <c r="G9" s="48">
        <f>FCF/WACC__a_T</f>
        <v>12.5</v>
      </c>
      <c r="I9" s="36" t="s">
        <v>29</v>
      </c>
    </row>
    <row r="10" spans="2:9" ht="15.75" thickBot="1">
      <c r="B10" s="15" t="s">
        <v>2</v>
      </c>
      <c r="C10" s="41">
        <v>0.35</v>
      </c>
      <c r="D10" s="3"/>
      <c r="I10" s="34">
        <f>D*Tc*rd</f>
        <v>0.14</v>
      </c>
    </row>
    <row r="11" spans="2:9" ht="15.75" thickBot="1">
      <c r="B11" s="15" t="s">
        <v>15</v>
      </c>
      <c r="C11" s="3">
        <f>D*Tc</f>
        <v>1.75</v>
      </c>
      <c r="D11" s="3"/>
      <c r="F11" s="75" t="s">
        <v>35</v>
      </c>
      <c r="G11" s="76"/>
      <c r="I11" s="34">
        <f>UTax-Tax</f>
        <v>0.1399999999999999</v>
      </c>
    </row>
    <row r="12" spans="2:9" ht="15.75" thickBot="1">
      <c r="B12" s="15" t="s">
        <v>3</v>
      </c>
      <c r="C12" s="3">
        <f>D/V</f>
        <v>0.4</v>
      </c>
      <c r="D12" s="3"/>
      <c r="F12" s="5" t="s">
        <v>9</v>
      </c>
      <c r="G12" s="6">
        <f>X</f>
        <v>2.085</v>
      </c>
      <c r="I12" s="35">
        <f>CCF-FCF</f>
        <v>0.1399999999999999</v>
      </c>
    </row>
    <row r="13" spans="2:7" ht="15.75" thickBot="1">
      <c r="B13" s="15" t="s">
        <v>4</v>
      </c>
      <c r="C13" s="3">
        <f>E/V</f>
        <v>0.6</v>
      </c>
      <c r="D13" s="3"/>
      <c r="F13" s="7" t="s">
        <v>5</v>
      </c>
      <c r="G13" s="8">
        <f>I</f>
        <v>0.4</v>
      </c>
    </row>
    <row r="14" spans="2:9" ht="15">
      <c r="B14" s="15"/>
      <c r="C14" s="3"/>
      <c r="D14" s="3"/>
      <c r="F14" s="7" t="s">
        <v>30</v>
      </c>
      <c r="G14" s="9">
        <f>G12-G13</f>
        <v>1.685</v>
      </c>
      <c r="I14" s="67" t="s">
        <v>57</v>
      </c>
    </row>
    <row r="15" spans="2:9" ht="15.75" thickBot="1">
      <c r="B15" s="15" t="s">
        <v>6</v>
      </c>
      <c r="C15" s="41">
        <v>2.085</v>
      </c>
      <c r="D15" s="3"/>
      <c r="F15" s="22" t="s">
        <v>10</v>
      </c>
      <c r="G15" s="24">
        <f>EBT*Tc</f>
        <v>0.58975</v>
      </c>
      <c r="I15" s="68" t="s">
        <v>56</v>
      </c>
    </row>
    <row r="16" spans="2:9" ht="16.5" thickBot="1">
      <c r="B16" s="15" t="s">
        <v>5</v>
      </c>
      <c r="C16" s="4">
        <f>D*rd</f>
        <v>0.4</v>
      </c>
      <c r="D16" s="3"/>
      <c r="F16" s="7" t="s">
        <v>32</v>
      </c>
      <c r="G16" s="9">
        <f>EBT-Tax</f>
        <v>1.09525</v>
      </c>
      <c r="I16" s="69">
        <f>Net_Income/re+I/rd</f>
        <v>12.5</v>
      </c>
    </row>
    <row r="17" spans="2:7" ht="15">
      <c r="B17" s="15"/>
      <c r="C17" s="4"/>
      <c r="D17" s="3"/>
      <c r="F17" s="7"/>
      <c r="G17" s="9"/>
    </row>
    <row r="18" spans="2:7" ht="15.75">
      <c r="B18" s="37" t="s">
        <v>7</v>
      </c>
      <c r="C18" s="39">
        <f>rd*(1-Tc)*D_V+re*E_V</f>
        <v>0.10842</v>
      </c>
      <c r="D18" s="3"/>
      <c r="F18" s="11" t="s">
        <v>33</v>
      </c>
      <c r="G18" s="9">
        <f>X-Tax</f>
        <v>1.49525</v>
      </c>
    </row>
    <row r="19" spans="2:7" ht="15.75">
      <c r="B19" s="38" t="s">
        <v>8</v>
      </c>
      <c r="C19" s="40">
        <f>rd*D_V+re*E_V</f>
        <v>0.11962</v>
      </c>
      <c r="D19" s="3"/>
      <c r="F19" s="12"/>
      <c r="G19" s="9"/>
    </row>
    <row r="20" spans="6:7" ht="16.5" thickBot="1">
      <c r="F20" s="10" t="s">
        <v>12</v>
      </c>
      <c r="G20" s="48">
        <f>CCF/WACC__b_T</f>
        <v>12.5</v>
      </c>
    </row>
  </sheetData>
  <sheetProtection/>
  <mergeCells count="4">
    <mergeCell ref="B1:G1"/>
    <mergeCell ref="F4:G4"/>
    <mergeCell ref="F11:G11"/>
    <mergeCell ref="I1:J1"/>
  </mergeCells>
  <printOptions/>
  <pageMargins left="0.75" right="0.75" top="1" bottom="1" header="0" footer="0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8"/>
  <sheetViews>
    <sheetView zoomScalePageLayoutView="0" workbookViewId="0" topLeftCell="A1">
      <selection activeCell="C12" sqref="C12"/>
    </sheetView>
  </sheetViews>
  <sheetFormatPr defaultColWidth="11.421875" defaultRowHeight="12.75"/>
  <sheetData>
    <row r="2" ht="15.75">
      <c r="B2" s="49" t="s">
        <v>36</v>
      </c>
    </row>
    <row r="4" spans="2:3" ht="12.75">
      <c r="B4" s="50" t="s">
        <v>37</v>
      </c>
      <c r="C4" s="51">
        <v>0.08</v>
      </c>
    </row>
    <row r="5" spans="2:3" ht="12.75">
      <c r="B5" s="50" t="s">
        <v>38</v>
      </c>
      <c r="C5">
        <v>1.2006</v>
      </c>
    </row>
    <row r="6" spans="2:3" ht="12.75">
      <c r="B6" s="50" t="s">
        <v>39</v>
      </c>
      <c r="C6" s="51">
        <v>0.135</v>
      </c>
    </row>
    <row r="7" ht="12.75">
      <c r="E7">
        <f>('Pág 520'!C8-CAPM!C4)/(CAPM!C6-CAPM!C4)</f>
        <v>1.2006060606060607</v>
      </c>
    </row>
    <row r="8" spans="2:3" ht="12.75">
      <c r="B8" s="50" t="s">
        <v>40</v>
      </c>
      <c r="C8">
        <f>C4+C5*(C6-C4)</f>
        <v>0.14603300000000002</v>
      </c>
    </row>
    <row r="12" spans="2:3" ht="12.75">
      <c r="B12" s="50" t="s">
        <v>41</v>
      </c>
      <c r="C12">
        <f>C5/(1+(5/7.5)*(1-0.35))</f>
        <v>0.837627906976744</v>
      </c>
    </row>
    <row r="14" spans="2:3" ht="12.75">
      <c r="B14" s="50" t="s">
        <v>43</v>
      </c>
      <c r="C14" s="51">
        <f>C4+C12*(C6-C4)</f>
        <v>0.12606953488372094</v>
      </c>
    </row>
    <row r="16" spans="2:3" ht="12.75">
      <c r="B16" s="50" t="s">
        <v>42</v>
      </c>
      <c r="C16">
        <f>FCF/C14</f>
        <v>10.750019830326195</v>
      </c>
    </row>
    <row r="17" spans="2:3" ht="12.75">
      <c r="B17" s="50" t="s">
        <v>44</v>
      </c>
      <c r="C17" s="53">
        <f>D*rd*Tc/C4</f>
        <v>1.7499999999999998</v>
      </c>
    </row>
    <row r="18" ht="12.75">
      <c r="C18">
        <f>SUM(C16:C17)</f>
        <v>12.500019830326195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15"/>
  <sheetViews>
    <sheetView zoomScale="130" zoomScaleNormal="130" zoomScalePageLayoutView="0" workbookViewId="0" topLeftCell="A1">
      <selection activeCell="B2" sqref="B2:E16"/>
    </sheetView>
  </sheetViews>
  <sheetFormatPr defaultColWidth="11.421875" defaultRowHeight="12.75"/>
  <cols>
    <col min="3" max="3" width="9.140625" style="0" bestFit="1" customWidth="1"/>
    <col min="4" max="4" width="9.140625" style="0" customWidth="1"/>
  </cols>
  <sheetData>
    <row r="2" ht="13.5" thickBot="1"/>
    <row r="3" spans="3:4" ht="12.75">
      <c r="C3" s="27"/>
      <c r="D3" s="27"/>
    </row>
    <row r="4" spans="3:5" ht="12.75">
      <c r="C4" s="28"/>
      <c r="D4" s="30" t="s">
        <v>16</v>
      </c>
      <c r="E4" s="33" t="s">
        <v>24</v>
      </c>
    </row>
    <row r="5" spans="3:4" ht="12.75">
      <c r="C5" s="30" t="s">
        <v>21</v>
      </c>
      <c r="D5" s="28"/>
    </row>
    <row r="6" spans="2:4" ht="13.5" thickBot="1">
      <c r="B6" s="33" t="s">
        <v>25</v>
      </c>
      <c r="C6" s="31" t="s">
        <v>23</v>
      </c>
      <c r="D6" s="29"/>
    </row>
    <row r="7" spans="3:4" ht="12.75">
      <c r="C7" s="28"/>
      <c r="D7" s="25"/>
    </row>
    <row r="8" spans="3:5" ht="12.75">
      <c r="C8" s="28"/>
      <c r="D8" s="32" t="s">
        <v>17</v>
      </c>
      <c r="E8" s="33" t="s">
        <v>26</v>
      </c>
    </row>
    <row r="9" spans="3:4" ht="12.75">
      <c r="C9" s="28"/>
      <c r="D9" s="32" t="s">
        <v>23</v>
      </c>
    </row>
    <row r="10" spans="3:4" ht="13.5" thickBot="1">
      <c r="C10" s="29"/>
      <c r="D10" s="26"/>
    </row>
    <row r="12" ht="13.5" thickBot="1"/>
    <row r="13" spans="2:4" ht="16.5" thickBot="1">
      <c r="B13" s="79" t="s">
        <v>27</v>
      </c>
      <c r="C13" s="80"/>
      <c r="D13" s="81"/>
    </row>
    <row r="14" ht="13.5" thickBot="1"/>
    <row r="15" spans="2:4" ht="13.5" thickBot="1">
      <c r="B15" s="82" t="s">
        <v>28</v>
      </c>
      <c r="C15" s="83"/>
      <c r="D15" s="84"/>
    </row>
  </sheetData>
  <sheetProtection/>
  <mergeCells count="2">
    <mergeCell ref="B13:D13"/>
    <mergeCell ref="B15:D15"/>
  </mergeCells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2:K19"/>
  <sheetViews>
    <sheetView zoomScalePageLayoutView="0" workbookViewId="0" topLeftCell="A1">
      <selection activeCell="G24" sqref="G24"/>
    </sheetView>
  </sheetViews>
  <sheetFormatPr defaultColWidth="11.421875" defaultRowHeight="12.75"/>
  <cols>
    <col min="4" max="4" width="19.421875" style="0" customWidth="1"/>
    <col min="5" max="5" width="20.7109375" style="0" customWidth="1"/>
    <col min="6" max="6" width="26.8515625" style="0" customWidth="1"/>
  </cols>
  <sheetData>
    <row r="2" spans="10:11" ht="12.75">
      <c r="J2" s="50" t="s">
        <v>67</v>
      </c>
      <c r="K2">
        <v>0.35</v>
      </c>
    </row>
    <row r="3" spans="10:11" ht="12.75">
      <c r="J3" s="50" t="s">
        <v>68</v>
      </c>
      <c r="K3">
        <v>2.085</v>
      </c>
    </row>
    <row r="4" ht="13.5" thickBot="1"/>
    <row r="5" spans="5:11" ht="12.75">
      <c r="E5" s="27"/>
      <c r="F5" s="27"/>
      <c r="J5" s="50" t="s">
        <v>65</v>
      </c>
      <c r="K5">
        <v>0.2</v>
      </c>
    </row>
    <row r="6" spans="5:11" ht="12.75">
      <c r="E6" s="28"/>
      <c r="F6" s="30" t="s">
        <v>16</v>
      </c>
      <c r="G6" s="33" t="s">
        <v>24</v>
      </c>
      <c r="J6" s="50" t="s">
        <v>66</v>
      </c>
      <c r="K6">
        <v>0.3</v>
      </c>
    </row>
    <row r="7" spans="5:6" ht="12.75">
      <c r="E7" s="30" t="s">
        <v>21</v>
      </c>
      <c r="F7" s="28"/>
    </row>
    <row r="8" spans="4:11" ht="13.5" thickBot="1">
      <c r="D8" s="33" t="s">
        <v>25</v>
      </c>
      <c r="E8" s="31" t="s">
        <v>23</v>
      </c>
      <c r="F8" s="29"/>
      <c r="J8" s="50" t="s">
        <v>69</v>
      </c>
      <c r="K8">
        <v>0.4</v>
      </c>
    </row>
    <row r="9" spans="5:6" ht="12.75">
      <c r="E9" s="28"/>
      <c r="F9" s="25"/>
    </row>
    <row r="10" spans="5:7" ht="12.75">
      <c r="E10" s="28"/>
      <c r="F10" s="32" t="s">
        <v>17</v>
      </c>
      <c r="G10" s="33" t="s">
        <v>26</v>
      </c>
    </row>
    <row r="11" spans="5:6" ht="12.75">
      <c r="E11" s="28"/>
      <c r="F11" s="32" t="s">
        <v>23</v>
      </c>
    </row>
    <row r="12" spans="5:6" ht="13.5" thickBot="1">
      <c r="E12" s="29"/>
      <c r="F12" s="26"/>
    </row>
    <row r="14" ht="13.5" thickBot="1"/>
    <row r="15" spans="4:6" ht="16.5" thickBot="1">
      <c r="D15" s="79" t="s">
        <v>70</v>
      </c>
      <c r="E15" s="80"/>
      <c r="F15" s="81"/>
    </row>
    <row r="16" ht="13.5" thickBot="1"/>
    <row r="17" spans="4:6" ht="13.5" thickBot="1">
      <c r="D17" s="82"/>
      <c r="E17" s="83"/>
      <c r="F17" s="84"/>
    </row>
    <row r="19" spans="5:6" ht="12.75">
      <c r="E19">
        <f>K3-K2*(K3-K8)-(K3-K8)*(1-K2)*K6-K8*K5</f>
        <v>1.0866749999999998</v>
      </c>
      <c r="F19">
        <f>K8-K8*K5+(K3-K8)*(1-K2)-(K3-K8)*(1-K2)*K6</f>
        <v>1.086675</v>
      </c>
    </row>
  </sheetData>
  <sheetProtection/>
  <mergeCells count="2">
    <mergeCell ref="D15:F15"/>
    <mergeCell ref="D17:F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17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4.57421875" style="0" customWidth="1"/>
  </cols>
  <sheetData>
    <row r="3" spans="2:8" ht="12.75">
      <c r="B3" s="18" t="s">
        <v>16</v>
      </c>
      <c r="C3" s="18" t="s">
        <v>17</v>
      </c>
      <c r="D3" s="18" t="s">
        <v>21</v>
      </c>
      <c r="E3" s="18" t="s">
        <v>18</v>
      </c>
      <c r="F3" s="18" t="s">
        <v>22</v>
      </c>
      <c r="G3" s="18" t="s">
        <v>20</v>
      </c>
      <c r="H3" s="18" t="s">
        <v>19</v>
      </c>
    </row>
    <row r="5" spans="2:8" ht="12.75">
      <c r="B5" s="17">
        <v>0</v>
      </c>
      <c r="C5" s="20">
        <v>10.75</v>
      </c>
      <c r="D5" s="46">
        <f>B5+C5</f>
        <v>10.75</v>
      </c>
      <c r="E5" s="19">
        <f>B5/C5</f>
        <v>0</v>
      </c>
      <c r="F5" s="19">
        <f>B5/D5</f>
        <v>0</v>
      </c>
      <c r="G5" s="21">
        <v>0.12606976744186046</v>
      </c>
      <c r="H5" s="21">
        <v>0.12606976744186046</v>
      </c>
    </row>
    <row r="6" spans="2:8" ht="12.75">
      <c r="B6" s="17">
        <v>1</v>
      </c>
      <c r="C6" s="20">
        <v>10.1</v>
      </c>
      <c r="D6" s="46">
        <f aca="true" t="shared" si="0" ref="D6:D15">B6+C6</f>
        <v>11.1</v>
      </c>
      <c r="E6" s="19">
        <f aca="true" t="shared" si="1" ref="E6:E15">B6/C6</f>
        <v>0.09900990099009901</v>
      </c>
      <c r="F6" s="19">
        <f aca="true" t="shared" si="2" ref="F6:F15">B6/D6</f>
        <v>0.0900900900900901</v>
      </c>
      <c r="G6" s="21">
        <v>0.12903465346534654</v>
      </c>
      <c r="H6" s="21">
        <v>0.12461711711711713</v>
      </c>
    </row>
    <row r="7" spans="2:8" ht="12.75">
      <c r="B7" s="17">
        <v>2</v>
      </c>
      <c r="C7" s="20">
        <v>9.45</v>
      </c>
      <c r="D7" s="46">
        <f t="shared" si="0"/>
        <v>11.45</v>
      </c>
      <c r="E7" s="19">
        <f t="shared" si="1"/>
        <v>0.21164021164021166</v>
      </c>
      <c r="F7" s="19">
        <f t="shared" si="2"/>
        <v>0.17467248908296945</v>
      </c>
      <c r="G7" s="21">
        <v>0.13240740740740742</v>
      </c>
      <c r="H7" s="21">
        <v>0.12325327510917031</v>
      </c>
    </row>
    <row r="8" spans="2:8" ht="12.75">
      <c r="B8" s="17">
        <v>3</v>
      </c>
      <c r="C8" s="20">
        <v>8.8</v>
      </c>
      <c r="D8" s="46">
        <f t="shared" si="0"/>
        <v>11.8</v>
      </c>
      <c r="E8" s="19">
        <f t="shared" si="1"/>
        <v>0.3409090909090909</v>
      </c>
      <c r="F8" s="19">
        <f t="shared" si="2"/>
        <v>0.2542372881355932</v>
      </c>
      <c r="G8" s="21">
        <v>0.13627840909090908</v>
      </c>
      <c r="H8" s="21">
        <v>0.12197033898305083</v>
      </c>
    </row>
    <row r="9" spans="2:8" ht="12.75">
      <c r="B9" s="17">
        <v>4</v>
      </c>
      <c r="C9" s="20">
        <v>8.15</v>
      </c>
      <c r="D9" s="46">
        <f t="shared" si="0"/>
        <v>12.15</v>
      </c>
      <c r="E9" s="19">
        <f t="shared" si="1"/>
        <v>0.49079754601226994</v>
      </c>
      <c r="F9" s="19">
        <f t="shared" si="2"/>
        <v>0.3292181069958848</v>
      </c>
      <c r="G9" s="21">
        <v>0.14076687116564415</v>
      </c>
      <c r="H9" s="21">
        <v>0.12076131687242797</v>
      </c>
    </row>
    <row r="10" spans="2:8" ht="12.75">
      <c r="B10" s="42">
        <v>5</v>
      </c>
      <c r="C10" s="43">
        <v>7.5</v>
      </c>
      <c r="D10" s="47">
        <f t="shared" si="0"/>
        <v>12.5</v>
      </c>
      <c r="E10" s="44">
        <f t="shared" si="1"/>
        <v>0.6666666666666666</v>
      </c>
      <c r="F10" s="44">
        <f t="shared" si="2"/>
        <v>0.4</v>
      </c>
      <c r="G10" s="45">
        <v>0.14603333333333335</v>
      </c>
      <c r="H10" s="45">
        <v>0.11962</v>
      </c>
    </row>
    <row r="11" spans="2:8" ht="12.75">
      <c r="B11" s="17">
        <v>6</v>
      </c>
      <c r="C11" s="20">
        <v>6.85</v>
      </c>
      <c r="D11" s="46">
        <f t="shared" si="0"/>
        <v>12.85</v>
      </c>
      <c r="E11" s="19">
        <f t="shared" si="1"/>
        <v>0.8759124087591241</v>
      </c>
      <c r="F11" s="19">
        <f t="shared" si="2"/>
        <v>0.4669260700389105</v>
      </c>
      <c r="G11" s="21">
        <v>0.1522992700729927</v>
      </c>
      <c r="H11" s="21">
        <v>0.1185408560311284</v>
      </c>
    </row>
    <row r="12" spans="2:8" ht="12.75">
      <c r="B12" s="17">
        <v>7</v>
      </c>
      <c r="C12" s="20">
        <v>6.2</v>
      </c>
      <c r="D12" s="46">
        <f t="shared" si="0"/>
        <v>13.2</v>
      </c>
      <c r="E12" s="19">
        <f t="shared" si="1"/>
        <v>1.129032258064516</v>
      </c>
      <c r="F12" s="19">
        <f t="shared" si="2"/>
        <v>0.5303030303030303</v>
      </c>
      <c r="G12" s="21">
        <v>0.15987903225806452</v>
      </c>
      <c r="H12" s="21">
        <v>0.1175189393939394</v>
      </c>
    </row>
    <row r="13" spans="2:8" ht="12.75">
      <c r="B13" s="17">
        <v>8</v>
      </c>
      <c r="C13" s="20">
        <v>5.55</v>
      </c>
      <c r="D13" s="46">
        <f t="shared" si="0"/>
        <v>13.55</v>
      </c>
      <c r="E13" s="19">
        <f t="shared" si="1"/>
        <v>1.4414414414414416</v>
      </c>
      <c r="F13" s="19">
        <f t="shared" si="2"/>
        <v>0.5904059040590406</v>
      </c>
      <c r="G13" s="21">
        <v>0.1692342342342342</v>
      </c>
      <c r="H13" s="21">
        <v>0.11654981549815498</v>
      </c>
    </row>
    <row r="14" spans="2:8" ht="12.75">
      <c r="B14" s="17">
        <v>9</v>
      </c>
      <c r="C14" s="20">
        <v>4.9</v>
      </c>
      <c r="D14" s="46">
        <f t="shared" si="0"/>
        <v>13.9</v>
      </c>
      <c r="E14" s="19">
        <f t="shared" si="1"/>
        <v>1.8367346938775508</v>
      </c>
      <c r="F14" s="19">
        <f t="shared" si="2"/>
        <v>0.6474820143884892</v>
      </c>
      <c r="G14" s="21">
        <v>0.18107142857142855</v>
      </c>
      <c r="H14" s="21">
        <v>0.1156294964028777</v>
      </c>
    </row>
    <row r="15" spans="2:8" ht="12.75">
      <c r="B15" s="17">
        <v>10</v>
      </c>
      <c r="C15" s="20">
        <v>4.25</v>
      </c>
      <c r="D15" s="46">
        <f t="shared" si="0"/>
        <v>14.25</v>
      </c>
      <c r="E15" s="19">
        <f t="shared" si="1"/>
        <v>2.3529411764705883</v>
      </c>
      <c r="F15" s="19">
        <f t="shared" si="2"/>
        <v>0.7017543859649122</v>
      </c>
      <c r="G15" s="21">
        <v>0.19652941176470587</v>
      </c>
      <c r="H15" s="21">
        <v>0.11475438596491229</v>
      </c>
    </row>
    <row r="16" spans="2:8" ht="12.75">
      <c r="B16" s="17"/>
      <c r="C16" s="17"/>
      <c r="D16" s="17"/>
      <c r="E16" s="17"/>
      <c r="F16" s="17"/>
      <c r="H16" s="17"/>
    </row>
    <row r="17" spans="2:8" ht="12.75">
      <c r="B17" s="17"/>
      <c r="C17" s="17"/>
      <c r="D17" s="17"/>
      <c r="E17" s="17"/>
      <c r="F17" s="17"/>
      <c r="G17" s="17"/>
      <c r="H17" s="17"/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5.57421875" style="0" customWidth="1"/>
    <col min="3" max="3" width="5.8515625" style="0" customWidth="1"/>
    <col min="4" max="4" width="19.421875" style="0" bestFit="1" customWidth="1"/>
    <col min="5" max="5" width="12.28125" style="0" customWidth="1"/>
    <col min="6" max="6" width="8.00390625" style="0" customWidth="1"/>
    <col min="7" max="7" width="10.140625" style="0" customWidth="1"/>
    <col min="9" max="9" width="4.421875" style="0" customWidth="1"/>
    <col min="10" max="10" width="9.140625" style="0" customWidth="1"/>
    <col min="11" max="11" width="8.8515625" style="0" customWidth="1"/>
  </cols>
  <sheetData>
    <row r="1" ht="15.75" customHeight="1" thickBot="1"/>
    <row r="2" spans="4:5" ht="15.75" customHeight="1">
      <c r="D2" s="89" t="s">
        <v>52</v>
      </c>
      <c r="E2" s="90"/>
    </row>
    <row r="3" spans="4:5" ht="13.5" thickBot="1">
      <c r="D3" s="54"/>
      <c r="E3" s="25"/>
    </row>
    <row r="4" spans="4:5" ht="13.5" thickBot="1">
      <c r="D4" s="85" t="s">
        <v>63</v>
      </c>
      <c r="E4" s="86"/>
    </row>
    <row r="5" spans="4:5" ht="15">
      <c r="D5" s="5" t="s">
        <v>9</v>
      </c>
      <c r="E5" s="6">
        <f>X</f>
        <v>2.085</v>
      </c>
    </row>
    <row r="6" spans="1:5" ht="15">
      <c r="A6" s="15" t="s">
        <v>55</v>
      </c>
      <c r="B6" s="3">
        <f>re</f>
        <v>0.14603333333333335</v>
      </c>
      <c r="D6" s="22" t="s">
        <v>31</v>
      </c>
      <c r="E6" s="23">
        <f>X*Tc</f>
        <v>0.7297499999999999</v>
      </c>
    </row>
    <row r="7" spans="1:5" ht="15">
      <c r="A7" s="15" t="s">
        <v>0</v>
      </c>
      <c r="B7" s="59">
        <v>0.08</v>
      </c>
      <c r="D7" s="11" t="s">
        <v>45</v>
      </c>
      <c r="E7" s="9">
        <f>X-UTax</f>
        <v>1.35525</v>
      </c>
    </row>
    <row r="8" spans="4:5" ht="15">
      <c r="D8" s="7"/>
      <c r="E8" s="9"/>
    </row>
    <row r="9" spans="1:5" ht="16.5" thickBot="1">
      <c r="A9" s="64" t="s">
        <v>64</v>
      </c>
      <c r="B9" s="65">
        <v>0.12606976744186046</v>
      </c>
      <c r="D9" s="10" t="s">
        <v>53</v>
      </c>
      <c r="E9" s="66">
        <f>FCF/B9</f>
        <v>10.75</v>
      </c>
    </row>
    <row r="10" spans="4:5" ht="35.25" thickBot="1">
      <c r="D10" s="60" t="s">
        <v>46</v>
      </c>
      <c r="E10" s="25"/>
    </row>
    <row r="11" spans="4:5" ht="13.5" thickBot="1">
      <c r="D11" s="85" t="s">
        <v>47</v>
      </c>
      <c r="E11" s="86"/>
    </row>
    <row r="12" spans="4:5" ht="12.75">
      <c r="D12" s="55" t="s">
        <v>49</v>
      </c>
      <c r="E12" s="25">
        <f>'Pág 520'!I10</f>
        <v>0.14</v>
      </c>
    </row>
    <row r="13" spans="4:5" ht="12.75">
      <c r="D13" s="55" t="s">
        <v>50</v>
      </c>
      <c r="E13" s="25">
        <f>B7</f>
        <v>0.08</v>
      </c>
    </row>
    <row r="14" spans="4:5" ht="13.5" thickBot="1">
      <c r="D14" s="54"/>
      <c r="E14" s="25"/>
    </row>
    <row r="15" spans="4:8" ht="16.5" thickBot="1">
      <c r="D15" s="10" t="s">
        <v>11</v>
      </c>
      <c r="E15" s="61">
        <f>E12/E13</f>
        <v>1.7500000000000002</v>
      </c>
      <c r="G15" s="57" t="s">
        <v>48</v>
      </c>
      <c r="H15" s="58">
        <f>D*Tc</f>
        <v>1.75</v>
      </c>
    </row>
    <row r="16" spans="4:5" ht="35.25" thickBot="1">
      <c r="D16" s="60" t="s">
        <v>51</v>
      </c>
      <c r="E16" s="25"/>
    </row>
    <row r="17" spans="4:9" ht="27.75" thickBot="1">
      <c r="D17" s="87">
        <f>E9+E15</f>
        <v>12.5</v>
      </c>
      <c r="E17" s="88"/>
      <c r="I17" s="56"/>
    </row>
  </sheetData>
  <sheetProtection/>
  <mergeCells count="4">
    <mergeCell ref="D11:E11"/>
    <mergeCell ref="D17:E17"/>
    <mergeCell ref="D4:E4"/>
    <mergeCell ref="D2:E2"/>
  </mergeCells>
  <printOptions/>
  <pageMargins left="0.7" right="0.7" top="0.75" bottom="0.75" header="0.3" footer="0.3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Ernesto Barugel</cp:lastModifiedBy>
  <dcterms:created xsi:type="dcterms:W3CDTF">2002-08-11T22:39:35Z</dcterms:created>
  <dcterms:modified xsi:type="dcterms:W3CDTF">2010-10-19T00:52:53Z</dcterms:modified>
  <cp:category/>
  <cp:version/>
  <cp:contentType/>
  <cp:contentStatus/>
</cp:coreProperties>
</file>